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tl.umsl.edu\steamboat\t\thaxtonm\My Documents\Fact Book Documents\Excel\Fact Book\"/>
    </mc:Choice>
  </mc:AlternateContent>
  <bookViews>
    <workbookView showHorizontalScroll="0" showVerticalScroll="0" showSheetTabs="0" xWindow="0" yWindow="0" windowWidth="28800" windowHeight="12300"/>
  </bookViews>
  <sheets>
    <sheet name="student_financial_aid_awards" sheetId="2" r:id="rId1"/>
  </sheets>
  <definedNames>
    <definedName name="HTML_CodePage" hidden="1">1252</definedName>
    <definedName name="HTML_Control" hidden="1">{"'student_financial_aid_awards'!$B$6:$N$14"}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Documents\FrontPage\student_financial_aid_awards.htm"</definedName>
    <definedName name="HTML_Title" hidden="1">""</definedName>
    <definedName name="_xlnm.Print_Area" localSheetId="0">student_financial_aid_awards!$A$1:$AK$44</definedName>
  </definedNames>
  <calcPr calcId="162913"/>
</workbook>
</file>

<file path=xl/calcChain.xml><?xml version="1.0" encoding="utf-8"?>
<calcChain xmlns="http://schemas.openxmlformats.org/spreadsheetml/2006/main">
  <c r="AJ10" i="2" l="1"/>
  <c r="AJ9" i="2"/>
  <c r="AJ8" i="2"/>
  <c r="AI12" i="2"/>
  <c r="AI10" i="2"/>
  <c r="AI9" i="2"/>
  <c r="AI8" i="2"/>
  <c r="AH10" i="2" l="1"/>
  <c r="AH9" i="2"/>
  <c r="AH8" i="2"/>
  <c r="AH12" i="2" s="1"/>
  <c r="AG12" i="2" l="1"/>
  <c r="AG10" i="2"/>
  <c r="AG9" i="2"/>
  <c r="AG8" i="2"/>
  <c r="AF10" i="2" l="1"/>
  <c r="AF12" i="2" s="1"/>
  <c r="AF9" i="2"/>
  <c r="AF8" i="2"/>
  <c r="AE10" i="2" l="1"/>
  <c r="AE9" i="2"/>
  <c r="AE8" i="2"/>
  <c r="AE12" i="2" s="1"/>
  <c r="AD12" i="2" l="1"/>
  <c r="AD10" i="2"/>
  <c r="AD9" i="2"/>
  <c r="AD8" i="2"/>
  <c r="AJ12" i="2" l="1"/>
  <c r="AC10" i="2"/>
  <c r="AC9" i="2"/>
  <c r="AC8" i="2"/>
  <c r="AC12" i="2" s="1"/>
  <c r="AB10" i="2" l="1"/>
  <c r="AB9" i="2"/>
  <c r="AB8" i="2"/>
  <c r="AB12" i="2" l="1"/>
  <c r="AJ59" i="2"/>
  <c r="AA10" i="2"/>
  <c r="AA9" i="2"/>
  <c r="AA8" i="2"/>
  <c r="Z10" i="2"/>
  <c r="Z9" i="2"/>
  <c r="Z8" i="2"/>
  <c r="Z12" i="2" s="1"/>
  <c r="Y10" i="2"/>
  <c r="X10" i="2"/>
  <c r="W10" i="2"/>
  <c r="V10" i="2"/>
  <c r="U10" i="2"/>
  <c r="T10" i="2"/>
  <c r="S10" i="2"/>
  <c r="R10" i="2"/>
  <c r="R61" i="2" s="1"/>
  <c r="Q10" i="2"/>
  <c r="P10" i="2"/>
  <c r="P61" i="2"/>
  <c r="O10" i="2"/>
  <c r="O12" i="2" s="1"/>
  <c r="O62" i="2" s="1"/>
  <c r="N10" i="2"/>
  <c r="N12" i="2" s="1"/>
  <c r="N62" i="2"/>
  <c r="M10" i="2"/>
  <c r="M12" i="2" s="1"/>
  <c r="M62" i="2" s="1"/>
  <c r="L10" i="2"/>
  <c r="L12" i="2" s="1"/>
  <c r="L62" i="2"/>
  <c r="K10" i="2"/>
  <c r="K12" i="2" s="1"/>
  <c r="K62" i="2" s="1"/>
  <c r="J10" i="2"/>
  <c r="J12" i="2" s="1"/>
  <c r="J62" i="2"/>
  <c r="I10" i="2"/>
  <c r="I12" i="2" s="1"/>
  <c r="I62" i="2" s="1"/>
  <c r="H10" i="2"/>
  <c r="H12" i="2" s="1"/>
  <c r="H62" i="2"/>
  <c r="G10" i="2"/>
  <c r="G12" i="2" s="1"/>
  <c r="G62" i="2" s="1"/>
  <c r="F10" i="2"/>
  <c r="F12" i="2" s="1"/>
  <c r="F62" i="2"/>
  <c r="E10" i="2"/>
  <c r="E12" i="2" s="1"/>
  <c r="E62" i="2" s="1"/>
  <c r="D10" i="2"/>
  <c r="D12" i="2" s="1"/>
  <c r="D62" i="2"/>
  <c r="S8" i="2"/>
  <c r="V9" i="2"/>
  <c r="V8" i="2"/>
  <c r="W9" i="2"/>
  <c r="W8" i="2"/>
  <c r="X9" i="2"/>
  <c r="X8" i="2"/>
  <c r="X12" i="2" s="1"/>
  <c r="Y9" i="2"/>
  <c r="Y8" i="2"/>
  <c r="AJ62" i="2"/>
  <c r="U8" i="2"/>
  <c r="U9" i="2"/>
  <c r="T8" i="2"/>
  <c r="T12" i="2" s="1"/>
  <c r="T9" i="2"/>
  <c r="S9" i="2"/>
  <c r="R9" i="2"/>
  <c r="R59" i="2" s="1"/>
  <c r="R8" i="2"/>
  <c r="R60" i="2"/>
  <c r="R58" i="2"/>
  <c r="Q8" i="2"/>
  <c r="Q12" i="2" s="1"/>
  <c r="Q62" i="2" s="1"/>
  <c r="Q9" i="2"/>
  <c r="Q59" i="2"/>
  <c r="Q61" i="2"/>
  <c r="Q60" i="2"/>
  <c r="P8" i="2"/>
  <c r="P9" i="2"/>
  <c r="P59" i="2"/>
  <c r="P60" i="2"/>
  <c r="AJ61" i="2"/>
  <c r="AJ60" i="2"/>
  <c r="AJ58" i="2"/>
  <c r="O61" i="2"/>
  <c r="O60" i="2"/>
  <c r="O59" i="2"/>
  <c r="O58" i="2"/>
  <c r="M61" i="2"/>
  <c r="I61" i="2"/>
  <c r="G61" i="2"/>
  <c r="E61" i="2"/>
  <c r="N60" i="2"/>
  <c r="M60" i="2"/>
  <c r="L60" i="2"/>
  <c r="K60" i="2"/>
  <c r="J60" i="2"/>
  <c r="I60" i="2"/>
  <c r="H60" i="2"/>
  <c r="G60" i="2"/>
  <c r="F60" i="2"/>
  <c r="E60" i="2"/>
  <c r="N59" i="2"/>
  <c r="M59" i="2"/>
  <c r="L59" i="2"/>
  <c r="K59" i="2"/>
  <c r="J59" i="2"/>
  <c r="I59" i="2"/>
  <c r="H59" i="2"/>
  <c r="G59" i="2"/>
  <c r="F59" i="2"/>
  <c r="E59" i="2"/>
  <c r="N58" i="2"/>
  <c r="M58" i="2"/>
  <c r="L58" i="2"/>
  <c r="K58" i="2"/>
  <c r="J58" i="2"/>
  <c r="I58" i="2"/>
  <c r="H58" i="2"/>
  <c r="G58" i="2"/>
  <c r="F58" i="2"/>
  <c r="E58" i="2"/>
  <c r="D60" i="2"/>
  <c r="D59" i="2"/>
  <c r="D58" i="2"/>
  <c r="D61" i="2"/>
  <c r="F61" i="2"/>
  <c r="H61" i="2"/>
  <c r="L61" i="2"/>
  <c r="N61" i="2"/>
  <c r="Q58" i="2"/>
  <c r="P58" i="2"/>
  <c r="U12" i="2" l="1"/>
  <c r="V12" i="2"/>
  <c r="J61" i="2"/>
  <c r="K61" i="2"/>
  <c r="P12" i="2"/>
  <c r="P62" i="2" s="1"/>
  <c r="R12" i="2"/>
  <c r="R62" i="2" s="1"/>
  <c r="Y12" i="2"/>
  <c r="W12" i="2"/>
  <c r="S12" i="2"/>
  <c r="AA12" i="2"/>
</calcChain>
</file>

<file path=xl/sharedStrings.xml><?xml version="1.0" encoding="utf-8"?>
<sst xmlns="http://schemas.openxmlformats.org/spreadsheetml/2006/main" count="64" uniqueCount="62">
  <si>
    <t>Grants &amp; Scholarships</t>
  </si>
  <si>
    <t>Loans</t>
  </si>
  <si>
    <t>Work Study</t>
  </si>
  <si>
    <t>Student Employment</t>
  </si>
  <si>
    <t>TOTAL</t>
  </si>
  <si>
    <t>UNIVERSITY OF MISSOURI-ST. LOUIS</t>
  </si>
  <si>
    <t>FY 1987</t>
  </si>
  <si>
    <t>FY 1988</t>
  </si>
  <si>
    <t>FY 1989</t>
  </si>
  <si>
    <t>FY 1990</t>
  </si>
  <si>
    <t>FY 1991</t>
  </si>
  <si>
    <t>FY 1992</t>
  </si>
  <si>
    <t>FY 1993</t>
  </si>
  <si>
    <t>FY 1994</t>
  </si>
  <si>
    <t>FY 1995</t>
  </si>
  <si>
    <t>FY 1996</t>
  </si>
  <si>
    <t>FY 1997</t>
  </si>
  <si>
    <t>FY 1998</t>
  </si>
  <si>
    <t>Note:  Amounts in millions for the graph.</t>
  </si>
  <si>
    <t>FY 1999</t>
  </si>
  <si>
    <t>FY 2000</t>
  </si>
  <si>
    <t>FY 2001</t>
  </si>
  <si>
    <t>FY 2002</t>
  </si>
  <si>
    <t>Scholarships, Fellowships, and Grants</t>
  </si>
  <si>
    <t xml:space="preserve">FY1987  </t>
  </si>
  <si>
    <t xml:space="preserve">FY1988  </t>
  </si>
  <si>
    <t xml:space="preserve">FY1989  </t>
  </si>
  <si>
    <t xml:space="preserve">FY1990  </t>
  </si>
  <si>
    <t xml:space="preserve">FY1991  </t>
  </si>
  <si>
    <t xml:space="preserve">FY1992  </t>
  </si>
  <si>
    <t xml:space="preserve">FY1993  </t>
  </si>
  <si>
    <t xml:space="preserve">FY1994  </t>
  </si>
  <si>
    <t xml:space="preserve">FY1995  </t>
  </si>
  <si>
    <t xml:space="preserve">FY1996  </t>
  </si>
  <si>
    <t xml:space="preserve">FY1997  </t>
  </si>
  <si>
    <t xml:space="preserve">FY1998  </t>
  </si>
  <si>
    <t>FY1999</t>
  </si>
  <si>
    <t>FY2000</t>
  </si>
  <si>
    <t>FY2001</t>
  </si>
  <si>
    <t>FY2002</t>
  </si>
  <si>
    <t>FY2003</t>
  </si>
  <si>
    <t>FY2004</t>
  </si>
  <si>
    <t>FY2005</t>
  </si>
  <si>
    <t>FY2006</t>
  </si>
  <si>
    <t>FY2007</t>
  </si>
  <si>
    <t>FY2008</t>
  </si>
  <si>
    <t>FY2009</t>
  </si>
  <si>
    <t>Student Employment (1)</t>
  </si>
  <si>
    <t>(1) Includes Work Study</t>
  </si>
  <si>
    <t>TABLE 4-6. STUDENT FINANCIAL AID AWARDS</t>
  </si>
  <si>
    <t>FY2010</t>
  </si>
  <si>
    <t>FY2011</t>
  </si>
  <si>
    <t>FY2012</t>
  </si>
  <si>
    <t>FY2013</t>
  </si>
  <si>
    <t>Other</t>
  </si>
  <si>
    <t>FY2014</t>
  </si>
  <si>
    <t>FY2015</t>
  </si>
  <si>
    <t>FY2016</t>
  </si>
  <si>
    <t>FY2017</t>
  </si>
  <si>
    <t>FY2018</t>
  </si>
  <si>
    <t>FY2019</t>
  </si>
  <si>
    <t>Source:  DHE 14-1 (most recent FY2019)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</si>
</sst>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164" formatCode="0.0"/>
    <numFmt numFmtId="165" formatCode="&quot;$&quot;#,##0"/>
  </numFmts>
  <fonts count="6" x14ac:knownFonts="1">
    <font>
      <sz val="10"/>
      <name val="MS Sans Serif"/>
    </font>
    <font>
      <sz val="10"/>
      <name val="MS Sans Serif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0" fontId="4" fillId="0" borderId="0" xfId="0" applyFont="1" applyAlignment="1">
      <alignment horizontal="centerContinuous"/>
    </xf>
    <xf numFmtId="165" fontId="4" fillId="0" borderId="0" xfId="0" applyNumberFormat="1" applyFont="1"/>
    <xf numFmtId="164" fontId="4" fillId="0" borderId="0" xfId="0" applyNumberFormat="1" applyFont="1"/>
    <xf numFmtId="3" fontId="4" fillId="0" borderId="0" xfId="0" applyNumberFormat="1" applyFont="1"/>
    <xf numFmtId="0" fontId="5" fillId="0" borderId="1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/>
    <xf numFmtId="0" fontId="4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Continuous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4" fillId="0" borderId="5" xfId="0" applyFont="1" applyBorder="1"/>
    <xf numFmtId="0" fontId="5" fillId="0" borderId="0" xfId="0" applyFont="1" applyBorder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0" xfId="0" applyFont="1" applyBorder="1"/>
    <xf numFmtId="0" fontId="5" fillId="0" borderId="6" xfId="0" applyFont="1" applyBorder="1" applyAlignment="1">
      <alignment horizontal="right"/>
    </xf>
    <xf numFmtId="165" fontId="4" fillId="0" borderId="6" xfId="0" applyNumberFormat="1" applyFont="1" applyBorder="1"/>
    <xf numFmtId="3" fontId="4" fillId="0" borderId="6" xfId="0" applyNumberFormat="1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1" xfId="0" applyFont="1" applyBorder="1"/>
    <xf numFmtId="0" fontId="4" fillId="0" borderId="8" xfId="0" applyFont="1" applyBorder="1"/>
    <xf numFmtId="5" fontId="4" fillId="0" borderId="0" xfId="0" applyNumberFormat="1" applyFont="1" applyBorder="1" applyAlignment="1">
      <alignment horizontal="right"/>
    </xf>
    <xf numFmtId="37" fontId="4" fillId="0" borderId="0" xfId="0" applyNumberFormat="1" applyFont="1" applyBorder="1" applyAlignment="1">
      <alignment horizontal="right"/>
    </xf>
    <xf numFmtId="5" fontId="4" fillId="0" borderId="9" xfId="0" applyNumberFormat="1" applyFont="1" applyBorder="1" applyAlignment="1">
      <alignment horizontal="right"/>
    </xf>
    <xf numFmtId="0" fontId="4" fillId="0" borderId="10" xfId="0" applyFont="1" applyBorder="1"/>
    <xf numFmtId="0" fontId="3" fillId="0" borderId="10" xfId="0" applyFont="1" applyBorder="1"/>
    <xf numFmtId="0" fontId="2" fillId="0" borderId="10" xfId="0" applyFont="1" applyBorder="1"/>
    <xf numFmtId="37" fontId="4" fillId="0" borderId="0" xfId="0" applyNumberFormat="1" applyFont="1" applyFill="1" applyBorder="1" applyAlignment="1">
      <alignment horizontal="right"/>
    </xf>
    <xf numFmtId="38" fontId="4" fillId="0" borderId="0" xfId="1" applyNumberFormat="1" applyFont="1" applyBorder="1"/>
    <xf numFmtId="38" fontId="2" fillId="0" borderId="0" xfId="1" applyNumberFormat="1" applyFont="1"/>
    <xf numFmtId="38" fontId="4" fillId="0" borderId="0" xfId="1" applyNumberFormat="1" applyFont="1"/>
    <xf numFmtId="5" fontId="4" fillId="0" borderId="0" xfId="0" applyNumberFormat="1" applyFont="1" applyBorder="1"/>
    <xf numFmtId="5" fontId="4" fillId="0" borderId="0" xfId="0" applyNumberFormat="1" applyFont="1" applyFill="1" applyBorder="1"/>
    <xf numFmtId="0" fontId="3" fillId="0" borderId="2" xfId="0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Student Financial Aid Awards</a:t>
            </a:r>
          </a:p>
        </c:rich>
      </c:tx>
      <c:layout>
        <c:manualLayout>
          <c:xMode val="edge"/>
          <c:yMode val="edge"/>
          <c:x val="0.3853210952181273"/>
          <c:y val="3.350515463917525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477064220183485E-2"/>
          <c:y val="0.18298992100656539"/>
          <c:w val="0.66163700994068664"/>
          <c:h val="0.634021416445282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student_financial_aid_awards!$B$8</c:f>
              <c:strCache>
                <c:ptCount val="1"/>
                <c:pt idx="0">
                  <c:v>Scholarships, Fellowships, and Grants</c:v>
                </c:pt>
              </c:strCache>
            </c:strRef>
          </c:tx>
          <c:invertIfNegative val="0"/>
          <c:cat>
            <c:strRef>
              <c:f>student_financial_aid_awards!$D$7:$AJ$7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student_financial_aid_awards!$D$8:$AJ$8</c:f>
              <c:numCache>
                <c:formatCode>"$"#,##0_);\("$"#,##0\)</c:formatCode>
                <c:ptCount val="10"/>
                <c:pt idx="0">
                  <c:v>39474217</c:v>
                </c:pt>
                <c:pt idx="1">
                  <c:v>40625359</c:v>
                </c:pt>
                <c:pt idx="2">
                  <c:v>44102771</c:v>
                </c:pt>
                <c:pt idx="3">
                  <c:v>46268216</c:v>
                </c:pt>
                <c:pt idx="4">
                  <c:v>51113419</c:v>
                </c:pt>
                <c:pt idx="5">
                  <c:v>53184045</c:v>
                </c:pt>
                <c:pt idx="6">
                  <c:v>52461799</c:v>
                </c:pt>
                <c:pt idx="7">
                  <c:v>49731286</c:v>
                </c:pt>
                <c:pt idx="8">
                  <c:v>49724166</c:v>
                </c:pt>
                <c:pt idx="9">
                  <c:v>51774908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2A-41E4-A737-4166E62DE876}"/>
            </c:ext>
          </c:extLst>
        </c:ser>
        <c:ser>
          <c:idx val="1"/>
          <c:order val="1"/>
          <c:tx>
            <c:strRef>
              <c:f>student_financial_aid_awards!$B$9</c:f>
              <c:strCache>
                <c:ptCount val="1"/>
                <c:pt idx="0">
                  <c:v>Loans</c:v>
                </c:pt>
              </c:strCache>
            </c:strRef>
          </c:tx>
          <c:invertIfNegative val="0"/>
          <c:cat>
            <c:strRef>
              <c:f>student_financial_aid_awards!$D$7:$AJ$7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student_financial_aid_awards!$D$9:$AJ$9</c:f>
              <c:numCache>
                <c:formatCode>#,##0_);\(#,##0\)</c:formatCode>
                <c:ptCount val="10"/>
                <c:pt idx="0">
                  <c:v>87631398</c:v>
                </c:pt>
                <c:pt idx="1">
                  <c:v>88396638</c:v>
                </c:pt>
                <c:pt idx="2">
                  <c:v>87868111</c:v>
                </c:pt>
                <c:pt idx="3">
                  <c:v>83785194</c:v>
                </c:pt>
                <c:pt idx="4">
                  <c:v>79070857</c:v>
                </c:pt>
                <c:pt idx="5">
                  <c:v>74794479</c:v>
                </c:pt>
                <c:pt idx="6">
                  <c:v>70693766</c:v>
                </c:pt>
                <c:pt idx="7">
                  <c:v>64516160</c:v>
                </c:pt>
                <c:pt idx="8">
                  <c:v>61288014</c:v>
                </c:pt>
                <c:pt idx="9">
                  <c:v>61888292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2A-41E4-A737-4166E62DE876}"/>
            </c:ext>
          </c:extLst>
        </c:ser>
        <c:ser>
          <c:idx val="3"/>
          <c:order val="2"/>
          <c:tx>
            <c:strRef>
              <c:f>student_financial_aid_awards!$B$10</c:f>
              <c:strCache>
                <c:ptCount val="1"/>
                <c:pt idx="0">
                  <c:v>Student Employment (1)</c:v>
                </c:pt>
              </c:strCache>
            </c:strRef>
          </c:tx>
          <c:invertIfNegative val="0"/>
          <c:cat>
            <c:strRef>
              <c:f>student_financial_aid_awards!$D$7:$AJ$7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student_financial_aid_awards!$D$10:$AJ$10</c:f>
              <c:numCache>
                <c:formatCode>#,##0_);\(#,##0\)</c:formatCode>
                <c:ptCount val="10"/>
                <c:pt idx="0">
                  <c:v>6791763</c:v>
                </c:pt>
                <c:pt idx="1">
                  <c:v>7052250</c:v>
                </c:pt>
                <c:pt idx="2">
                  <c:v>7426225</c:v>
                </c:pt>
                <c:pt idx="3">
                  <c:v>6942106</c:v>
                </c:pt>
                <c:pt idx="4">
                  <c:v>7372992</c:v>
                </c:pt>
                <c:pt idx="5">
                  <c:v>7423916</c:v>
                </c:pt>
                <c:pt idx="6">
                  <c:v>8124839</c:v>
                </c:pt>
                <c:pt idx="7">
                  <c:v>7436014</c:v>
                </c:pt>
                <c:pt idx="8">
                  <c:v>7145068</c:v>
                </c:pt>
                <c:pt idx="9">
                  <c:v>7511820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2A-41E4-A737-4166E62DE876}"/>
            </c:ext>
          </c:extLst>
        </c:ser>
        <c:ser>
          <c:idx val="2"/>
          <c:order val="3"/>
          <c:tx>
            <c:strRef>
              <c:f>student_financial_aid_awards!$B$11</c:f>
              <c:strCache>
                <c:ptCount val="1"/>
                <c:pt idx="0">
                  <c:v>Other</c:v>
                </c:pt>
              </c:strCache>
            </c:strRef>
          </c:tx>
          <c:invertIfNegative val="0"/>
          <c:cat>
            <c:strRef>
              <c:f>student_financial_aid_awards!$D$7:$AJ$7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student_financial_aid_awards!$D$11:$AJ$11</c:f>
              <c:numCache>
                <c:formatCode>#,##0_);\(#,##0\)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52224</c:v>
                </c:pt>
                <c:pt idx="4">
                  <c:v>1210671</c:v>
                </c:pt>
                <c:pt idx="5">
                  <c:v>1231168</c:v>
                </c:pt>
                <c:pt idx="6">
                  <c:v>1335993</c:v>
                </c:pt>
                <c:pt idx="7">
                  <c:v>1253025</c:v>
                </c:pt>
                <c:pt idx="8">
                  <c:v>1106538</c:v>
                </c:pt>
                <c:pt idx="9">
                  <c:v>863011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2A-41E4-A737-4166E62DE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7817600"/>
        <c:axId val="167819904"/>
      </c:barChart>
      <c:catAx>
        <c:axId val="167817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3119269854581782"/>
              <c:y val="0.899485618421408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78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7819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Dollars (millions)</a:t>
                </a:r>
              </a:p>
            </c:rich>
          </c:tx>
          <c:layout>
            <c:manualLayout>
              <c:xMode val="edge"/>
              <c:yMode val="edge"/>
              <c:x val="1.8348579208664006E-2"/>
              <c:y val="0.35824796384987956"/>
            </c:manualLayout>
          </c:layout>
          <c:overlay val="0"/>
        </c:title>
        <c:numFmt formatCode="&quot;$&quot;#,##0_);\(&quot;$&quot;#,##0\)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7817600"/>
        <c:crosses val="autoZero"/>
        <c:crossBetween val="between"/>
        <c:dispUnits>
          <c:builtInUnit val="millions"/>
        </c:dispUnits>
      </c:valAx>
    </c:plotArea>
    <c:legend>
      <c:legendPos val="r"/>
      <c:layout>
        <c:manualLayout>
          <c:xMode val="edge"/>
          <c:yMode val="edge"/>
          <c:x val="0.79010147353628035"/>
          <c:y val="0.23539573017290361"/>
          <c:w val="0.19152582305164612"/>
          <c:h val="0.3397137213518413"/>
        </c:manualLayout>
      </c:layout>
      <c:overlay val="0"/>
    </c:legend>
    <c:plotVisOnly val="1"/>
    <c:dispBlanksAs val="gap"/>
    <c:showDLblsOverMax val="0"/>
  </c:chart>
  <c:spPr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18</xdr:row>
      <xdr:rowOff>28575</xdr:rowOff>
    </xdr:from>
    <xdr:to>
      <xdr:col>36</xdr:col>
      <xdr:colOff>38100</xdr:colOff>
      <xdr:row>42</xdr:row>
      <xdr:rowOff>66675</xdr:rowOff>
    </xdr:to>
    <xdr:graphicFrame macro="">
      <xdr:nvGraphicFramePr>
        <xdr:cNvPr id="106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85725</xdr:colOff>
      <xdr:row>0</xdr:row>
      <xdr:rowOff>85725</xdr:rowOff>
    </xdr:from>
    <xdr:to>
      <xdr:col>1</xdr:col>
      <xdr:colOff>1162050</xdr:colOff>
      <xdr:row>3</xdr:row>
      <xdr:rowOff>95250</xdr:rowOff>
    </xdr:to>
    <xdr:pic>
      <xdr:nvPicPr>
        <xdr:cNvPr id="106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85725"/>
          <a:ext cx="10763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2"/>
  <sheetViews>
    <sheetView showGridLines="0" tabSelected="1" workbookViewId="0"/>
  </sheetViews>
  <sheetFormatPr defaultRowHeight="12" x14ac:dyDescent="0.2"/>
  <cols>
    <col min="1" max="1" width="2.140625" style="3" customWidth="1"/>
    <col min="2" max="2" width="28.140625" style="3" customWidth="1"/>
    <col min="3" max="3" width="0.85546875" style="3" customWidth="1"/>
    <col min="4" max="4" width="11.5703125" style="3" hidden="1" customWidth="1"/>
    <col min="5" max="5" width="11" style="3" hidden="1" customWidth="1"/>
    <col min="6" max="22" width="11.5703125" style="3" hidden="1" customWidth="1"/>
    <col min="23" max="23" width="10.140625" style="3" hidden="1" customWidth="1"/>
    <col min="24" max="26" width="11" style="3" hidden="1" customWidth="1"/>
    <col min="27" max="31" width="11" style="3" bestFit="1" customWidth="1"/>
    <col min="32" max="35" width="11" style="3" customWidth="1"/>
    <col min="36" max="36" width="11" style="3" bestFit="1" customWidth="1"/>
    <col min="37" max="37" width="3.85546875" style="3" customWidth="1"/>
    <col min="38" max="38" width="11.5703125" style="3" customWidth="1"/>
    <col min="39" max="41" width="24" style="3" customWidth="1"/>
    <col min="42" max="16384" width="9.140625" style="3"/>
  </cols>
  <sheetData>
    <row r="1" spans="1:40" x14ac:dyDescent="0.2">
      <c r="A1" s="11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12"/>
    </row>
    <row r="2" spans="1:40" s="1" customFormat="1" ht="12.75" x14ac:dyDescent="0.2">
      <c r="A2" s="13"/>
      <c r="C2" s="34" t="s">
        <v>5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14"/>
      <c r="AL2" s="2"/>
    </row>
    <row r="3" spans="1:40" s="1" customFormat="1" ht="13.5" thickBot="1" x14ac:dyDescent="0.25">
      <c r="A3" s="13"/>
      <c r="B3" s="15"/>
      <c r="C3" s="42" t="s">
        <v>49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4"/>
      <c r="AL3" s="2"/>
      <c r="AN3" s="38"/>
    </row>
    <row r="4" spans="1:40" s="1" customFormat="1" ht="13.5" thickTop="1" x14ac:dyDescent="0.2">
      <c r="A4" s="13"/>
      <c r="B4" s="15"/>
      <c r="C4" s="15"/>
      <c r="D4" s="16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4"/>
      <c r="AL4" s="2"/>
      <c r="AN4" s="38"/>
    </row>
    <row r="5" spans="1:40" x14ac:dyDescent="0.2">
      <c r="A5" s="18"/>
      <c r="B5" s="19"/>
      <c r="C5" s="19"/>
      <c r="D5" s="19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1"/>
      <c r="AL5" s="4"/>
      <c r="AN5" s="39"/>
    </row>
    <row r="6" spans="1:40" x14ac:dyDescent="0.2">
      <c r="A6" s="18"/>
      <c r="B6" s="19"/>
      <c r="C6" s="19"/>
      <c r="D6" s="19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1"/>
      <c r="AL6" s="4"/>
      <c r="AN6" s="39"/>
    </row>
    <row r="7" spans="1:40" x14ac:dyDescent="0.2">
      <c r="A7" s="18"/>
      <c r="B7" s="22"/>
      <c r="C7" s="22"/>
      <c r="D7" s="8" t="s">
        <v>24</v>
      </c>
      <c r="E7" s="8" t="s">
        <v>25</v>
      </c>
      <c r="F7" s="8" t="s">
        <v>26</v>
      </c>
      <c r="G7" s="8" t="s">
        <v>27</v>
      </c>
      <c r="H7" s="8" t="s">
        <v>28</v>
      </c>
      <c r="I7" s="8" t="s">
        <v>29</v>
      </c>
      <c r="J7" s="8" t="s">
        <v>30</v>
      </c>
      <c r="K7" s="8" t="s">
        <v>31</v>
      </c>
      <c r="L7" s="8" t="s">
        <v>32</v>
      </c>
      <c r="M7" s="8" t="s">
        <v>33</v>
      </c>
      <c r="N7" s="8" t="s">
        <v>34</v>
      </c>
      <c r="O7" s="8" t="s">
        <v>35</v>
      </c>
      <c r="P7" s="8" t="s">
        <v>36</v>
      </c>
      <c r="Q7" s="8" t="s">
        <v>37</v>
      </c>
      <c r="R7" s="8" t="s">
        <v>38</v>
      </c>
      <c r="S7" s="8" t="s">
        <v>39</v>
      </c>
      <c r="T7" s="8" t="s">
        <v>40</v>
      </c>
      <c r="U7" s="8" t="s">
        <v>41</v>
      </c>
      <c r="V7" s="8" t="s">
        <v>42</v>
      </c>
      <c r="W7" s="8" t="s">
        <v>43</v>
      </c>
      <c r="X7" s="8" t="s">
        <v>44</v>
      </c>
      <c r="Y7" s="8" t="s">
        <v>45</v>
      </c>
      <c r="Z7" s="8" t="s">
        <v>46</v>
      </c>
      <c r="AA7" s="8" t="s">
        <v>50</v>
      </c>
      <c r="AB7" s="8" t="s">
        <v>51</v>
      </c>
      <c r="AC7" s="8" t="s">
        <v>52</v>
      </c>
      <c r="AD7" s="8" t="s">
        <v>53</v>
      </c>
      <c r="AE7" s="8" t="s">
        <v>55</v>
      </c>
      <c r="AF7" s="8" t="s">
        <v>56</v>
      </c>
      <c r="AG7" s="8" t="s">
        <v>57</v>
      </c>
      <c r="AH7" s="8" t="s">
        <v>58</v>
      </c>
      <c r="AI7" s="8" t="s">
        <v>59</v>
      </c>
      <c r="AJ7" s="8" t="s">
        <v>60</v>
      </c>
      <c r="AK7" s="23"/>
      <c r="AL7" s="9"/>
      <c r="AN7" s="39"/>
    </row>
    <row r="8" spans="1:40" x14ac:dyDescent="0.2">
      <c r="A8" s="18"/>
      <c r="B8" s="22" t="s">
        <v>23</v>
      </c>
      <c r="C8" s="22"/>
      <c r="D8" s="30">
        <v>2197488</v>
      </c>
      <c r="E8" s="30">
        <v>2192692</v>
      </c>
      <c r="F8" s="30">
        <v>2676587</v>
      </c>
      <c r="G8" s="30">
        <v>2948871</v>
      </c>
      <c r="H8" s="30">
        <v>4663630</v>
      </c>
      <c r="I8" s="30">
        <v>6160115</v>
      </c>
      <c r="J8" s="30">
        <v>6554462</v>
      </c>
      <c r="K8" s="30">
        <v>7331822</v>
      </c>
      <c r="L8" s="30">
        <v>9990959</v>
      </c>
      <c r="M8" s="30">
        <v>11287601</v>
      </c>
      <c r="N8" s="30">
        <v>12397581</v>
      </c>
      <c r="O8" s="30">
        <v>13634672</v>
      </c>
      <c r="P8" s="30">
        <f>321945+3823302+124563+5161767+337508+1812286+109662+1382746+1358961</f>
        <v>14432740</v>
      </c>
      <c r="Q8" s="30">
        <f>267357+4038691+135115+4766542+334339+2241016+114168+1587927+1376524</f>
        <v>14861679</v>
      </c>
      <c r="R8" s="30">
        <f>498529+4646683+173653+7850563+344785+832323+1537568+2512698</f>
        <v>18396802</v>
      </c>
      <c r="S8" s="30">
        <f>412898+5662195+193481+8391588+442808+974839+737179+323000+15201+276521+165373+19500+3000+276905+139419+24386+3307592</f>
        <v>21365885</v>
      </c>
      <c r="T8" s="30">
        <f>279173+6076647+181517+8293472+409874+2184848+509056+301000+13750+185570+183783+20000+3000+300467+124484+27877+4650853</f>
        <v>23745371</v>
      </c>
      <c r="U8" s="30">
        <f>390360+6702879+419867+8184146+495011+2581153+514500+279000+5750+207369+250011+21000+6750+367304+104295+43569+3181988</f>
        <v>23754952</v>
      </c>
      <c r="V8" s="30">
        <f>265286+7033126+246223+8538595+580005+2720817+468453+266000+2500+291575+163712+13000+1500+256267+135266+2294733</f>
        <v>23277058</v>
      </c>
      <c r="W8" s="30">
        <f>516066+7073084+467719+9395583+637953+432227+2423387+943942+292000+360839+144315+9000+6000+395274+178122+8069853</f>
        <v>31345364</v>
      </c>
      <c r="X8" s="30">
        <f>267542+7415432+915814+10267212+764322+423055+2408314+591630+284000+282725+167372+5000+3000+381876+274877+5500+2944729</f>
        <v>27402400</v>
      </c>
      <c r="Y8" s="30">
        <f>261721+8193733+1190187+11270287+878791+412120+2248662+305000+2036055+212654+15000+3000+417166+220344+2632530</f>
        <v>30297250</v>
      </c>
      <c r="Z8" s="30">
        <f>10885498+17249182+3477925+2615796</f>
        <v>34228401</v>
      </c>
      <c r="AA8" s="30">
        <f>17176271+16396886+3181236+2719824</f>
        <v>39474217</v>
      </c>
      <c r="AB8" s="30">
        <f>18337064+17435017+2096369+2756909</f>
        <v>40625359</v>
      </c>
      <c r="AC8" s="30">
        <f>18188628+20765432+2127679+3021032</f>
        <v>44102771</v>
      </c>
      <c r="AD8" s="30">
        <f>18194633+22674739+2234276+3164568</f>
        <v>46268216</v>
      </c>
      <c r="AE8" s="30">
        <f>20058523+25946893+2460364+2647639</f>
        <v>51113419</v>
      </c>
      <c r="AF8" s="30">
        <f>20020283+27477784+3347584+2338394</f>
        <v>53184045</v>
      </c>
      <c r="AG8" s="30">
        <f>18875127+26952686+3988802+2645184</f>
        <v>52461799</v>
      </c>
      <c r="AH8" s="30">
        <f>16627778+26652020+4030200+2421288</f>
        <v>49731286</v>
      </c>
      <c r="AI8" s="30">
        <f>18145842+25503168+3343539+2731617</f>
        <v>49724166</v>
      </c>
      <c r="AJ8" s="30">
        <f>18040315+27173199+3796621+2764773</f>
        <v>51774908</v>
      </c>
      <c r="AK8" s="24"/>
      <c r="AL8" s="5"/>
    </row>
    <row r="9" spans="1:40" x14ac:dyDescent="0.2">
      <c r="A9" s="18"/>
      <c r="B9" s="22" t="s">
        <v>1</v>
      </c>
      <c r="C9" s="22"/>
      <c r="D9" s="31">
        <v>2618921</v>
      </c>
      <c r="E9" s="31">
        <v>3719688</v>
      </c>
      <c r="F9" s="31">
        <v>4842058</v>
      </c>
      <c r="G9" s="31">
        <v>5461313</v>
      </c>
      <c r="H9" s="31">
        <v>7223564</v>
      </c>
      <c r="I9" s="31">
        <v>9048958</v>
      </c>
      <c r="J9" s="31">
        <v>8640916</v>
      </c>
      <c r="K9" s="31">
        <v>13864074</v>
      </c>
      <c r="L9" s="31">
        <v>20511857</v>
      </c>
      <c r="M9" s="31">
        <v>26597138</v>
      </c>
      <c r="N9" s="31">
        <v>29987434</v>
      </c>
      <c r="O9" s="31">
        <v>31501175</v>
      </c>
      <c r="P9" s="31">
        <f>334927+17295033+14152281+292468+25000+6550+22112+2200+15500</f>
        <v>32146071</v>
      </c>
      <c r="Q9" s="31">
        <f>377870+16671878+15171785+317462+11100</f>
        <v>32550095</v>
      </c>
      <c r="R9" s="31">
        <f>408260+17591996+16324542+552221+38000+12500+301300</f>
        <v>35228819</v>
      </c>
      <c r="S9" s="31">
        <f>493475+18895672+17974905+620845+38500+13000+399496</f>
        <v>38435893</v>
      </c>
      <c r="T9" s="31">
        <f>927594+771283+23153742+20366570+38088+6600+347103</f>
        <v>45610980</v>
      </c>
      <c r="U9" s="31">
        <f>382377+26005632+23333278+3493816+28000+18400+413831+2587872</f>
        <v>56263206</v>
      </c>
      <c r="V9" s="31">
        <f>792455+27435624+24737211+3025994+10000+15250+457245+3868158</f>
        <v>60341937</v>
      </c>
      <c r="W9" s="31">
        <f>616021+28592453+26366390+3640559+45000+37350+850046+5100004</f>
        <v>65247823</v>
      </c>
      <c r="X9" s="31">
        <f>651325+30590998+29282850+4050277+40042+41465+1065342+6199265</f>
        <v>71921564</v>
      </c>
      <c r="Y9" s="31">
        <f>223074+32422306+30355772+3557745+105031+37167+77954+136000+498892+5822722</f>
        <v>73236663</v>
      </c>
      <c r="Z9" s="31">
        <f>73935429+4674126</f>
        <v>78609555</v>
      </c>
      <c r="AA9" s="31">
        <f>85001947+2629451</f>
        <v>87631398</v>
      </c>
      <c r="AB9" s="31">
        <f>85855419+2541219</f>
        <v>88396638</v>
      </c>
      <c r="AC9" s="31">
        <f>85200243+2667868</f>
        <v>87868111</v>
      </c>
      <c r="AD9" s="31">
        <f>80880662+2904532</f>
        <v>83785194</v>
      </c>
      <c r="AE9" s="31">
        <f>76408726+2662131</f>
        <v>79070857</v>
      </c>
      <c r="AF9" s="31">
        <f>72531103+2263376</f>
        <v>74794479</v>
      </c>
      <c r="AG9" s="31">
        <f>68429197+2264569</f>
        <v>70693766</v>
      </c>
      <c r="AH9" s="31">
        <f>61899472+1200+2615488</f>
        <v>64516160</v>
      </c>
      <c r="AI9" s="31">
        <f>58496458+2791556</f>
        <v>61288014</v>
      </c>
      <c r="AJ9" s="31">
        <f>58730583+3157709</f>
        <v>61888292</v>
      </c>
      <c r="AK9" s="25"/>
      <c r="AL9" s="7"/>
    </row>
    <row r="10" spans="1:40" x14ac:dyDescent="0.2">
      <c r="A10" s="18"/>
      <c r="B10" s="22" t="s">
        <v>47</v>
      </c>
      <c r="C10" s="22"/>
      <c r="D10" s="31">
        <f>1273706+305544</f>
        <v>1579250</v>
      </c>
      <c r="E10" s="31">
        <f>2368055+216138</f>
        <v>2584193</v>
      </c>
      <c r="F10" s="31">
        <f>2456845+249072</f>
        <v>2705917</v>
      </c>
      <c r="G10" s="31">
        <f>2399330+299670</f>
        <v>2699000</v>
      </c>
      <c r="H10" s="31">
        <f>3056822+299554</f>
        <v>3356376</v>
      </c>
      <c r="I10" s="31">
        <f>3486112+303618</f>
        <v>3789730</v>
      </c>
      <c r="J10" s="31">
        <f>3166440+360201</f>
        <v>3526641</v>
      </c>
      <c r="K10" s="31">
        <f>3405122+289433</f>
        <v>3694555</v>
      </c>
      <c r="L10" s="31">
        <f>3479969+247074</f>
        <v>3727043</v>
      </c>
      <c r="M10" s="31">
        <f>3136567+210742</f>
        <v>3347309</v>
      </c>
      <c r="N10" s="31">
        <f>3471236+198889</f>
        <v>3670125</v>
      </c>
      <c r="O10" s="31">
        <f>3804764+346837</f>
        <v>4151601</v>
      </c>
      <c r="P10" s="31">
        <f>3394331+378334</f>
        <v>3772665</v>
      </c>
      <c r="Q10" s="31">
        <f>3485510+336684</f>
        <v>3822194</v>
      </c>
      <c r="R10" s="36">
        <f>3914938+457898</f>
        <v>4372836</v>
      </c>
      <c r="S10" s="36">
        <f>1793198+518232</f>
        <v>2311430</v>
      </c>
      <c r="T10" s="36">
        <f>3652402+887316</f>
        <v>4539718</v>
      </c>
      <c r="U10" s="36">
        <f>3638126+453599</f>
        <v>4091725</v>
      </c>
      <c r="V10" s="36">
        <f>5273043+375565</f>
        <v>5648608</v>
      </c>
      <c r="W10" s="36">
        <f>483125+926390</f>
        <v>1409515</v>
      </c>
      <c r="X10" s="36">
        <f>5867176+390713</f>
        <v>6257889</v>
      </c>
      <c r="Y10" s="36">
        <f>6073184+282274</f>
        <v>6355458</v>
      </c>
      <c r="Z10" s="36">
        <f>6391721+292322</f>
        <v>6684043</v>
      </c>
      <c r="AA10" s="36">
        <f>332446+6459317</f>
        <v>6791763</v>
      </c>
      <c r="AB10" s="36">
        <f>309732+6742518</f>
        <v>7052250</v>
      </c>
      <c r="AC10" s="36">
        <f>331336+7094889</f>
        <v>7426225</v>
      </c>
      <c r="AD10" s="36">
        <f>375963+6566143</f>
        <v>6942106</v>
      </c>
      <c r="AE10" s="36">
        <f>281534+7091458</f>
        <v>7372992</v>
      </c>
      <c r="AF10" s="36">
        <f>277419+7146497</f>
        <v>7423916</v>
      </c>
      <c r="AG10" s="36">
        <f>303279+7821560</f>
        <v>8124839</v>
      </c>
      <c r="AH10" s="36">
        <f>293570+7142444</f>
        <v>7436014</v>
      </c>
      <c r="AI10" s="36">
        <f>343579+6801489</f>
        <v>7145068</v>
      </c>
      <c r="AJ10" s="36">
        <f>655126+6856694</f>
        <v>7511820</v>
      </c>
      <c r="AK10" s="25"/>
      <c r="AL10" s="7"/>
    </row>
    <row r="11" spans="1:40" x14ac:dyDescent="0.2">
      <c r="A11" s="18"/>
      <c r="B11" s="22" t="s">
        <v>54</v>
      </c>
      <c r="C11" s="22"/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36">
        <v>0</v>
      </c>
      <c r="V11" s="36">
        <v>0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52224</v>
      </c>
      <c r="AE11" s="36">
        <v>1210671</v>
      </c>
      <c r="AF11" s="36">
        <v>1231168</v>
      </c>
      <c r="AG11" s="36">
        <v>1335993</v>
      </c>
      <c r="AH11" s="36">
        <v>1253025</v>
      </c>
      <c r="AI11" s="36">
        <v>1106538</v>
      </c>
      <c r="AJ11" s="36">
        <v>863011</v>
      </c>
      <c r="AK11" s="25"/>
      <c r="AL11" s="7"/>
    </row>
    <row r="12" spans="1:40" ht="12.75" thickBot="1" x14ac:dyDescent="0.25">
      <c r="A12" s="18"/>
      <c r="B12" s="22" t="s">
        <v>4</v>
      </c>
      <c r="C12" s="22"/>
      <c r="D12" s="32">
        <f t="shared" ref="D12:AC12" si="0">SUM(D8:D11)</f>
        <v>6395659</v>
      </c>
      <c r="E12" s="32">
        <f t="shared" si="0"/>
        <v>8496573</v>
      </c>
      <c r="F12" s="32">
        <f t="shared" si="0"/>
        <v>10224562</v>
      </c>
      <c r="G12" s="32">
        <f t="shared" si="0"/>
        <v>11109184</v>
      </c>
      <c r="H12" s="32">
        <f t="shared" si="0"/>
        <v>15243570</v>
      </c>
      <c r="I12" s="32">
        <f t="shared" si="0"/>
        <v>18998803</v>
      </c>
      <c r="J12" s="32">
        <f t="shared" si="0"/>
        <v>18722019</v>
      </c>
      <c r="K12" s="32">
        <f t="shared" si="0"/>
        <v>24890451</v>
      </c>
      <c r="L12" s="32">
        <f t="shared" si="0"/>
        <v>34229859</v>
      </c>
      <c r="M12" s="32">
        <f t="shared" si="0"/>
        <v>41232048</v>
      </c>
      <c r="N12" s="32">
        <f t="shared" si="0"/>
        <v>46055140</v>
      </c>
      <c r="O12" s="32">
        <f t="shared" si="0"/>
        <v>49287448</v>
      </c>
      <c r="P12" s="32">
        <f t="shared" si="0"/>
        <v>50351476</v>
      </c>
      <c r="Q12" s="32">
        <f t="shared" si="0"/>
        <v>51233968</v>
      </c>
      <c r="R12" s="32">
        <f t="shared" si="0"/>
        <v>57998457</v>
      </c>
      <c r="S12" s="32">
        <f t="shared" si="0"/>
        <v>62113208</v>
      </c>
      <c r="T12" s="32">
        <f t="shared" si="0"/>
        <v>73896069</v>
      </c>
      <c r="U12" s="32">
        <f t="shared" si="0"/>
        <v>84109883</v>
      </c>
      <c r="V12" s="32">
        <f t="shared" si="0"/>
        <v>89267603</v>
      </c>
      <c r="W12" s="32">
        <f t="shared" si="0"/>
        <v>98002702</v>
      </c>
      <c r="X12" s="32">
        <f t="shared" si="0"/>
        <v>105581853</v>
      </c>
      <c r="Y12" s="32">
        <f t="shared" si="0"/>
        <v>109889371</v>
      </c>
      <c r="Z12" s="32">
        <f t="shared" si="0"/>
        <v>119521999</v>
      </c>
      <c r="AA12" s="32">
        <f t="shared" si="0"/>
        <v>133897378</v>
      </c>
      <c r="AB12" s="32">
        <f t="shared" si="0"/>
        <v>136074247</v>
      </c>
      <c r="AC12" s="32">
        <f t="shared" si="0"/>
        <v>139397107</v>
      </c>
      <c r="AD12" s="32">
        <f t="shared" ref="AD12:AJ12" si="1">SUM(AD8:AD11)</f>
        <v>137047740</v>
      </c>
      <c r="AE12" s="32">
        <f t="shared" si="1"/>
        <v>138767939</v>
      </c>
      <c r="AF12" s="32">
        <f t="shared" si="1"/>
        <v>136633608</v>
      </c>
      <c r="AG12" s="32">
        <f t="shared" si="1"/>
        <v>132616397</v>
      </c>
      <c r="AH12" s="32">
        <f t="shared" si="1"/>
        <v>122936485</v>
      </c>
      <c r="AI12" s="32">
        <f t="shared" si="1"/>
        <v>119263786</v>
      </c>
      <c r="AJ12" s="32">
        <f t="shared" si="1"/>
        <v>122038031</v>
      </c>
      <c r="AK12" s="25"/>
      <c r="AL12" s="7"/>
    </row>
    <row r="13" spans="1:40" ht="12.75" thickTop="1" x14ac:dyDescent="0.2">
      <c r="A13" s="18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40"/>
      <c r="AK13" s="26"/>
    </row>
    <row r="14" spans="1:40" x14ac:dyDescent="0.2">
      <c r="A14" s="18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41"/>
      <c r="AK14" s="26"/>
    </row>
    <row r="15" spans="1:40" x14ac:dyDescent="0.2">
      <c r="A15" s="18"/>
      <c r="B15" s="22" t="s">
        <v>61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40"/>
      <c r="AK15" s="26"/>
    </row>
    <row r="16" spans="1:40" x14ac:dyDescent="0.2">
      <c r="A16" s="18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40"/>
      <c r="AK16" s="26"/>
    </row>
    <row r="17" spans="1:37" x14ac:dyDescent="0.2">
      <c r="A17" s="18"/>
      <c r="B17" s="22" t="s">
        <v>48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40"/>
      <c r="AK17" s="26"/>
    </row>
    <row r="18" spans="1:37" x14ac:dyDescent="0.2">
      <c r="A18" s="18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6"/>
    </row>
    <row r="19" spans="1:37" x14ac:dyDescent="0.2">
      <c r="A19" s="18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6"/>
    </row>
    <row r="20" spans="1:37" x14ac:dyDescent="0.2">
      <c r="A20" s="18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6"/>
    </row>
    <row r="21" spans="1:37" x14ac:dyDescent="0.2">
      <c r="A21" s="18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6"/>
    </row>
    <row r="22" spans="1:37" x14ac:dyDescent="0.2">
      <c r="A22" s="18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6"/>
    </row>
    <row r="23" spans="1:37" x14ac:dyDescent="0.2">
      <c r="A23" s="18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6"/>
    </row>
    <row r="24" spans="1:37" x14ac:dyDescent="0.2">
      <c r="A24" s="18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6"/>
    </row>
    <row r="25" spans="1:37" x14ac:dyDescent="0.2">
      <c r="A25" s="18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6"/>
    </row>
    <row r="26" spans="1:37" x14ac:dyDescent="0.2">
      <c r="A26" s="18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6"/>
    </row>
    <row r="27" spans="1:37" x14ac:dyDescent="0.2">
      <c r="A27" s="18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6"/>
    </row>
    <row r="28" spans="1:37" x14ac:dyDescent="0.2">
      <c r="A28" s="18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6"/>
    </row>
    <row r="29" spans="1:37" x14ac:dyDescent="0.2">
      <c r="A29" s="18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6"/>
    </row>
    <row r="30" spans="1:37" x14ac:dyDescent="0.2">
      <c r="A30" s="18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6"/>
    </row>
    <row r="31" spans="1:37" x14ac:dyDescent="0.2">
      <c r="A31" s="18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6"/>
    </row>
    <row r="32" spans="1:37" x14ac:dyDescent="0.2">
      <c r="A32" s="18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6"/>
    </row>
    <row r="33" spans="1:37" x14ac:dyDescent="0.2">
      <c r="A33" s="18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6"/>
    </row>
    <row r="34" spans="1:37" x14ac:dyDescent="0.2">
      <c r="A34" s="18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6"/>
    </row>
    <row r="35" spans="1:37" x14ac:dyDescent="0.2">
      <c r="A35" s="18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6"/>
    </row>
    <row r="36" spans="1:37" x14ac:dyDescent="0.2">
      <c r="A36" s="18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6"/>
    </row>
    <row r="37" spans="1:37" x14ac:dyDescent="0.2">
      <c r="A37" s="18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6"/>
    </row>
    <row r="38" spans="1:37" x14ac:dyDescent="0.2">
      <c r="A38" s="18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6"/>
    </row>
    <row r="39" spans="1:37" x14ac:dyDescent="0.2">
      <c r="A39" s="18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6"/>
    </row>
    <row r="40" spans="1:37" x14ac:dyDescent="0.2">
      <c r="A40" s="18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6"/>
    </row>
    <row r="41" spans="1:37" x14ac:dyDescent="0.2">
      <c r="A41" s="18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6"/>
    </row>
    <row r="42" spans="1:37" x14ac:dyDescent="0.2">
      <c r="A42" s="18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6"/>
    </row>
    <row r="43" spans="1:37" x14ac:dyDescent="0.2">
      <c r="A43" s="18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6"/>
    </row>
    <row r="44" spans="1:37" x14ac:dyDescent="0.2">
      <c r="A44" s="27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9"/>
    </row>
    <row r="55" spans="2:38" hidden="1" x14ac:dyDescent="0.2">
      <c r="B55" s="3" t="s">
        <v>18</v>
      </c>
    </row>
    <row r="56" spans="2:38" hidden="1" x14ac:dyDescent="0.2"/>
    <row r="57" spans="2:38" hidden="1" x14ac:dyDescent="0.2">
      <c r="D57" s="8" t="s">
        <v>6</v>
      </c>
      <c r="E57" s="8" t="s">
        <v>7</v>
      </c>
      <c r="F57" s="8" t="s">
        <v>8</v>
      </c>
      <c r="G57" s="8" t="s">
        <v>9</v>
      </c>
      <c r="H57" s="8" t="s">
        <v>10</v>
      </c>
      <c r="I57" s="8" t="s">
        <v>11</v>
      </c>
      <c r="J57" s="8" t="s">
        <v>12</v>
      </c>
      <c r="K57" s="8" t="s">
        <v>13</v>
      </c>
      <c r="L57" s="8" t="s">
        <v>14</v>
      </c>
      <c r="M57" s="8" t="s">
        <v>15</v>
      </c>
      <c r="N57" s="8" t="s">
        <v>16</v>
      </c>
      <c r="O57" s="8" t="s">
        <v>17</v>
      </c>
      <c r="P57" s="8" t="s">
        <v>19</v>
      </c>
      <c r="Q57" s="8" t="s">
        <v>20</v>
      </c>
      <c r="R57" s="8" t="s">
        <v>21</v>
      </c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 t="s">
        <v>22</v>
      </c>
    </row>
    <row r="58" spans="2:38" hidden="1" x14ac:dyDescent="0.2">
      <c r="B58" s="3" t="s">
        <v>0</v>
      </c>
      <c r="D58" s="6">
        <f t="shared" ref="D58:N58" si="2">D8/1000000</f>
        <v>2.1974879999999999</v>
      </c>
      <c r="E58" s="6">
        <f t="shared" si="2"/>
        <v>2.1926920000000001</v>
      </c>
      <c r="F58" s="6">
        <f t="shared" si="2"/>
        <v>2.676587</v>
      </c>
      <c r="G58" s="6">
        <f t="shared" si="2"/>
        <v>2.948871</v>
      </c>
      <c r="H58" s="6">
        <f t="shared" si="2"/>
        <v>4.6636300000000004</v>
      </c>
      <c r="I58" s="6">
        <f t="shared" si="2"/>
        <v>6.1601150000000002</v>
      </c>
      <c r="J58" s="6">
        <f t="shared" si="2"/>
        <v>6.554462</v>
      </c>
      <c r="K58" s="6">
        <f t="shared" si="2"/>
        <v>7.3318219999999998</v>
      </c>
      <c r="L58" s="6">
        <f t="shared" si="2"/>
        <v>9.9909590000000001</v>
      </c>
      <c r="M58" s="6">
        <f t="shared" si="2"/>
        <v>11.287601</v>
      </c>
      <c r="N58" s="6">
        <f t="shared" si="2"/>
        <v>12.397581000000001</v>
      </c>
      <c r="O58" s="6">
        <f t="shared" ref="O58:R59" si="3">O8/1000000</f>
        <v>13.634672</v>
      </c>
      <c r="P58" s="6">
        <f t="shared" si="3"/>
        <v>14.432740000000001</v>
      </c>
      <c r="Q58" s="6">
        <f t="shared" si="3"/>
        <v>14.861679000000001</v>
      </c>
      <c r="R58" s="6">
        <f t="shared" si="3"/>
        <v>18.396802000000001</v>
      </c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>
        <f>AJ8/1000000</f>
        <v>51.774908000000003</v>
      </c>
      <c r="AL58" s="30"/>
    </row>
    <row r="59" spans="2:38" hidden="1" x14ac:dyDescent="0.2">
      <c r="B59" s="3" t="s">
        <v>1</v>
      </c>
      <c r="D59" s="6">
        <f t="shared" ref="D59:N59" si="4">D9/1000000</f>
        <v>2.6189209999999998</v>
      </c>
      <c r="E59" s="6">
        <f t="shared" si="4"/>
        <v>3.7196880000000001</v>
      </c>
      <c r="F59" s="6">
        <f t="shared" si="4"/>
        <v>4.8420579999999998</v>
      </c>
      <c r="G59" s="6">
        <f t="shared" si="4"/>
        <v>5.4613129999999996</v>
      </c>
      <c r="H59" s="6">
        <f t="shared" si="4"/>
        <v>7.2235639999999997</v>
      </c>
      <c r="I59" s="6">
        <f t="shared" si="4"/>
        <v>9.0489580000000007</v>
      </c>
      <c r="J59" s="6">
        <f t="shared" si="4"/>
        <v>8.6409160000000007</v>
      </c>
      <c r="K59" s="6">
        <f t="shared" si="4"/>
        <v>13.864074</v>
      </c>
      <c r="L59" s="6">
        <f t="shared" si="4"/>
        <v>20.511856999999999</v>
      </c>
      <c r="M59" s="6">
        <f t="shared" si="4"/>
        <v>26.597138000000001</v>
      </c>
      <c r="N59" s="6">
        <f t="shared" si="4"/>
        <v>29.987434</v>
      </c>
      <c r="O59" s="6">
        <f t="shared" si="3"/>
        <v>31.501175</v>
      </c>
      <c r="P59" s="6">
        <f t="shared" si="3"/>
        <v>32.146070999999999</v>
      </c>
      <c r="Q59" s="6">
        <f t="shared" si="3"/>
        <v>32.550094999999999</v>
      </c>
      <c r="R59" s="6">
        <f t="shared" si="3"/>
        <v>35.228819000000001</v>
      </c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>
        <f>AJ9/1000000</f>
        <v>61.888292</v>
      </c>
      <c r="AL59" s="31"/>
    </row>
    <row r="60" spans="2:38" hidden="1" x14ac:dyDescent="0.2">
      <c r="B60" s="3" t="s">
        <v>2</v>
      </c>
      <c r="D60" s="6" t="e">
        <f>#REF!/1000000</f>
        <v>#REF!</v>
      </c>
      <c r="E60" s="6" t="e">
        <f>#REF!/1000000</f>
        <v>#REF!</v>
      </c>
      <c r="F60" s="6" t="e">
        <f>#REF!/1000000</f>
        <v>#REF!</v>
      </c>
      <c r="G60" s="6" t="e">
        <f>#REF!/1000000</f>
        <v>#REF!</v>
      </c>
      <c r="H60" s="6" t="e">
        <f>#REF!/1000000</f>
        <v>#REF!</v>
      </c>
      <c r="I60" s="6" t="e">
        <f>#REF!/1000000</f>
        <v>#REF!</v>
      </c>
      <c r="J60" s="6" t="e">
        <f>#REF!/1000000</f>
        <v>#REF!</v>
      </c>
      <c r="K60" s="6" t="e">
        <f>#REF!/1000000</f>
        <v>#REF!</v>
      </c>
      <c r="L60" s="6" t="e">
        <f>#REF!/1000000</f>
        <v>#REF!</v>
      </c>
      <c r="M60" s="6" t="e">
        <f>#REF!/1000000</f>
        <v>#REF!</v>
      </c>
      <c r="N60" s="6" t="e">
        <f>#REF!/1000000</f>
        <v>#REF!</v>
      </c>
      <c r="O60" s="6" t="e">
        <f>#REF!/1000000</f>
        <v>#REF!</v>
      </c>
      <c r="P60" s="6" t="e">
        <f>#REF!/1000000</f>
        <v>#REF!</v>
      </c>
      <c r="Q60" s="6" t="e">
        <f>#REF!/1000000</f>
        <v>#REF!</v>
      </c>
      <c r="R60" s="6" t="e">
        <f>#REF!/1000000</f>
        <v>#REF!</v>
      </c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 t="e">
        <f>#REF!/1000000</f>
        <v>#REF!</v>
      </c>
      <c r="AL60" s="31"/>
    </row>
    <row r="61" spans="2:38" hidden="1" x14ac:dyDescent="0.2">
      <c r="B61" s="3" t="s">
        <v>3</v>
      </c>
      <c r="D61" s="6">
        <f t="shared" ref="D61:N61" si="5">D10/1000000</f>
        <v>1.57925</v>
      </c>
      <c r="E61" s="6">
        <f t="shared" si="5"/>
        <v>2.584193</v>
      </c>
      <c r="F61" s="6">
        <f t="shared" si="5"/>
        <v>2.7059169999999999</v>
      </c>
      <c r="G61" s="6">
        <f t="shared" si="5"/>
        <v>2.6989999999999998</v>
      </c>
      <c r="H61" s="6">
        <f t="shared" si="5"/>
        <v>3.356376</v>
      </c>
      <c r="I61" s="6">
        <f t="shared" si="5"/>
        <v>3.78973</v>
      </c>
      <c r="J61" s="6">
        <f t="shared" si="5"/>
        <v>3.5266410000000001</v>
      </c>
      <c r="K61" s="6">
        <f t="shared" si="5"/>
        <v>3.6945549999999998</v>
      </c>
      <c r="L61" s="6">
        <f t="shared" si="5"/>
        <v>3.7270430000000001</v>
      </c>
      <c r="M61" s="6">
        <f t="shared" si="5"/>
        <v>3.3473090000000001</v>
      </c>
      <c r="N61" s="6">
        <f t="shared" si="5"/>
        <v>3.6701250000000001</v>
      </c>
      <c r="O61" s="6">
        <f>O10/1000000</f>
        <v>4.1516010000000003</v>
      </c>
      <c r="P61" s="6">
        <f>P10/1000000</f>
        <v>3.7726649999999999</v>
      </c>
      <c r="Q61" s="6">
        <f>Q10/1000000</f>
        <v>3.8221940000000001</v>
      </c>
      <c r="R61" s="6">
        <f>R10/1000000</f>
        <v>4.3728360000000004</v>
      </c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>
        <f>AJ10/1000000</f>
        <v>7.5118200000000002</v>
      </c>
      <c r="AL61" s="31"/>
    </row>
    <row r="62" spans="2:38" hidden="1" x14ac:dyDescent="0.2">
      <c r="B62" s="3" t="s">
        <v>4</v>
      </c>
      <c r="D62" s="6">
        <f t="shared" ref="D62:N62" si="6">D12/1000000</f>
        <v>6.3956590000000002</v>
      </c>
      <c r="E62" s="6">
        <f t="shared" si="6"/>
        <v>8.4965729999999997</v>
      </c>
      <c r="F62" s="6">
        <f t="shared" si="6"/>
        <v>10.224562000000001</v>
      </c>
      <c r="G62" s="6">
        <f t="shared" si="6"/>
        <v>11.109184000000001</v>
      </c>
      <c r="H62" s="6">
        <f t="shared" si="6"/>
        <v>15.24357</v>
      </c>
      <c r="I62" s="6">
        <f t="shared" si="6"/>
        <v>18.998802999999999</v>
      </c>
      <c r="J62" s="6">
        <f t="shared" si="6"/>
        <v>18.722019</v>
      </c>
      <c r="K62" s="6">
        <f t="shared" si="6"/>
        <v>24.890450999999999</v>
      </c>
      <c r="L62" s="6">
        <f t="shared" si="6"/>
        <v>34.229858999999998</v>
      </c>
      <c r="M62" s="6">
        <f t="shared" si="6"/>
        <v>41.232047999999999</v>
      </c>
      <c r="N62" s="6">
        <f t="shared" si="6"/>
        <v>46.055140000000002</v>
      </c>
      <c r="O62" s="6">
        <f>O12/1000000</f>
        <v>49.287447999999998</v>
      </c>
      <c r="P62" s="6">
        <f t="shared" ref="P62:R62" si="7">P12/1000000</f>
        <v>50.351475999999998</v>
      </c>
      <c r="Q62" s="6">
        <f t="shared" si="7"/>
        <v>51.233967999999997</v>
      </c>
      <c r="R62" s="6">
        <f t="shared" si="7"/>
        <v>57.998457000000002</v>
      </c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>
        <f>AJ12/1000000</f>
        <v>122.038031</v>
      </c>
      <c r="AL62" s="30"/>
    </row>
  </sheetData>
  <phoneticPr fontId="0" type="noConversion"/>
  <printOptions horizontalCentered="1" gridLinesSet="0"/>
  <pageMargins left="0.25" right="0.25" top="0.5" bottom="0.5" header="0" footer="0.22"/>
  <pageSetup scale="94" orientation="landscape" r:id="rId1"/>
  <headerFooter scaleWithDoc="0">
    <oddFooter>&amp;L&amp;"Times New Roman,Regular"&amp;8UMSL Fact Book&amp;C&amp;"Times New Roman,Regular"&amp;8&amp;A&amp;R&amp;"Times New Roman,Regular"&amp;8Last Updated FY2019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student_financial_aid_awards</vt:lpstr>
      <vt:lpstr>student_financial_aid_awards!Print_Area</vt:lpstr>
    </vt:vector>
  </TitlesOfParts>
  <Company>Univ. of Missouri-St. Louis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Mulderig</dc:creator>
  <cp:lastModifiedBy>Thaxton, Mary</cp:lastModifiedBy>
  <cp:lastPrinted>2019-12-19T22:39:21Z</cp:lastPrinted>
  <dcterms:created xsi:type="dcterms:W3CDTF">1999-01-29T20:19:30Z</dcterms:created>
  <dcterms:modified xsi:type="dcterms:W3CDTF">2019-12-19T22:43:56Z</dcterms:modified>
</cp:coreProperties>
</file>